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3416"/>
  <workbookPr showInkAnnotation="0" autoCompressPictures="0"/>
  <bookViews>
    <workbookView xWindow="2260" yWindow="40" windowWidth="25600" windowHeight="16060" tabRatio="500"/>
  </bookViews>
  <sheets>
    <sheet name="Sheet1" sheetId="1" r:id="rId1"/>
  </sheets>
  <externalReferences>
    <externalReference r:id="rId2"/>
  </externalReferences>
  <definedNames>
    <definedName name="solver_adj" localSheetId="0" hidden="1">Sheet1!$C$8</definedName>
    <definedName name="solver_cvg" localSheetId="0" hidden="1">0.0001</definedName>
    <definedName name="solver_drv" localSheetId="0" hidden="1">1</definedName>
    <definedName name="solver_eng" localSheetId="0" hidden="1">1</definedName>
    <definedName name="solver_itr" localSheetId="0" hidden="1">2147483647</definedName>
    <definedName name="solver_lin" localSheetId="0" hidden="1">2</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2</definedName>
    <definedName name="solver_nod" localSheetId="0" hidden="1">2147483647</definedName>
    <definedName name="solver_num" localSheetId="0" hidden="1">0</definedName>
    <definedName name="solver_opt" localSheetId="0" hidden="1">Sheet1!$M$36</definedName>
    <definedName name="solver_pre" localSheetId="0" hidden="1">0.000001</definedName>
    <definedName name="solver_rbv" localSheetId="0" hidden="1">1</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3</definedName>
    <definedName name="solver_val" localSheetId="0" hidden="1">0</definedName>
    <definedName name="solver_ver" localSheetId="0" hidden="1">2</definedName>
  </definedNames>
  <calcPr calcId="140000" concurrentCalc="0"/>
  <extLst>
    <ext xmlns:mx="http://schemas.microsoft.com/office/mac/excel/2008/main" uri="{7523E5D3-25F3-A5E0-1632-64F254C22452}">
      <mx:ArchID Flags="2"/>
    </ext>
  </extLst>
</workbook>
</file>

<file path=xl/calcChain.xml><?xml version="1.0" encoding="utf-8"?>
<calcChain xmlns="http://schemas.openxmlformats.org/spreadsheetml/2006/main">
  <c r="P8" i="1" l="1"/>
  <c r="O8" i="1"/>
  <c r="F29" i="1"/>
  <c r="E29" i="1"/>
  <c r="F28" i="1"/>
  <c r="E28" i="1"/>
  <c r="F33" i="1"/>
  <c r="C9" i="1"/>
  <c r="E33" i="1"/>
  <c r="C90" i="1"/>
  <c r="C89" i="1"/>
  <c r="C35" i="1"/>
  <c r="D18" i="1"/>
  <c r="B86" i="1"/>
  <c r="C27" i="1"/>
  <c r="C11" i="1"/>
  <c r="C10" i="1"/>
  <c r="C6" i="1"/>
  <c r="D17" i="1"/>
  <c r="D16" i="1"/>
  <c r="D15" i="1"/>
  <c r="D14" i="1"/>
  <c r="D13" i="1"/>
  <c r="D12" i="1"/>
  <c r="D8" i="1"/>
  <c r="E8" i="1"/>
  <c r="F8" i="1"/>
  <c r="G8" i="1"/>
  <c r="H8" i="1"/>
  <c r="J5" i="1"/>
  <c r="D7" i="1"/>
  <c r="E7" i="1"/>
  <c r="F7" i="1"/>
  <c r="G7" i="1"/>
  <c r="H7" i="1"/>
  <c r="I7" i="1"/>
  <c r="D6" i="1"/>
  <c r="E6" i="1"/>
  <c r="F6" i="1"/>
  <c r="G6" i="1"/>
  <c r="H6" i="1"/>
  <c r="I6" i="1"/>
  <c r="J7" i="1"/>
  <c r="K8" i="1"/>
  <c r="K7" i="1"/>
  <c r="L8" i="1"/>
  <c r="M8" i="1"/>
  <c r="D20" i="1"/>
  <c r="E20" i="1"/>
  <c r="F20" i="1"/>
  <c r="G20" i="1"/>
  <c r="H20" i="1"/>
  <c r="J20" i="1"/>
  <c r="K20" i="1"/>
  <c r="M20" i="1"/>
  <c r="M21" i="1"/>
  <c r="M22" i="1"/>
  <c r="L27" i="1"/>
  <c r="M27" i="1"/>
  <c r="L28" i="1"/>
  <c r="M28" i="1"/>
  <c r="L29" i="1"/>
  <c r="M29" i="1"/>
  <c r="L30" i="1"/>
  <c r="M30" i="1"/>
  <c r="L31" i="1"/>
  <c r="M31" i="1"/>
  <c r="L32" i="1"/>
  <c r="M32" i="1"/>
  <c r="L33" i="1"/>
  <c r="M33" i="1"/>
  <c r="M19" i="1"/>
  <c r="L10" i="1"/>
  <c r="M10" i="1"/>
  <c r="L11" i="1"/>
  <c r="M11" i="1"/>
  <c r="M36" i="1"/>
  <c r="O36" i="1"/>
  <c r="K27" i="1"/>
  <c r="Q8" i="1"/>
  <c r="Q27" i="1"/>
  <c r="R8" i="1"/>
  <c r="A5" i="1"/>
  <c r="A12" i="1"/>
  <c r="K30" i="1"/>
  <c r="K28" i="1"/>
  <c r="K29" i="1"/>
  <c r="K31" i="1"/>
  <c r="K32" i="1"/>
  <c r="K33" i="1"/>
  <c r="L19" i="1"/>
  <c r="K36" i="1" a="1"/>
  <c r="E81" i="1"/>
  <c r="A6" i="1"/>
  <c r="F44" i="1"/>
  <c r="F45" i="1"/>
  <c r="F46" i="1"/>
  <c r="F47" i="1"/>
  <c r="G43" i="1"/>
  <c r="G44" i="1"/>
  <c r="G45" i="1"/>
  <c r="G46" i="1"/>
  <c r="G47" i="1"/>
  <c r="H44" i="1"/>
  <c r="C23" i="1"/>
  <c r="E79" i="1"/>
  <c r="E78" i="1"/>
  <c r="E77" i="1"/>
  <c r="E76" i="1"/>
  <c r="E75" i="1"/>
  <c r="E74" i="1"/>
  <c r="E73" i="1"/>
  <c r="E72" i="1"/>
  <c r="E71" i="1"/>
  <c r="E70" i="1"/>
  <c r="E69" i="1"/>
  <c r="E68" i="1"/>
  <c r="E67" i="1"/>
  <c r="E66" i="1"/>
  <c r="E65" i="1"/>
  <c r="E64" i="1"/>
  <c r="E63" i="1"/>
  <c r="E62" i="1"/>
  <c r="E61" i="1"/>
  <c r="E60" i="1"/>
  <c r="E59" i="1"/>
  <c r="E58" i="1"/>
  <c r="E57" i="1"/>
  <c r="C32" i="1"/>
  <c r="A18" i="1"/>
  <c r="A17" i="1"/>
  <c r="A16" i="1"/>
  <c r="C29" i="1"/>
  <c r="I8" i="1"/>
  <c r="I9" i="1"/>
  <c r="A27" i="1"/>
  <c r="C28" i="1"/>
  <c r="A13" i="1"/>
  <c r="A14" i="1"/>
  <c r="A35" i="1"/>
  <c r="A15" i="1"/>
  <c r="A36" i="1"/>
  <c r="C36" i="1"/>
  <c r="A11" i="1"/>
  <c r="A10" i="1"/>
  <c r="A9" i="1"/>
  <c r="D9" i="1"/>
  <c r="U7" i="1"/>
  <c r="K36" i="1"/>
  <c r="I36" i="1"/>
  <c r="L36" i="1"/>
  <c r="K38" i="1"/>
  <c r="L38" i="1"/>
</calcChain>
</file>

<file path=xl/sharedStrings.xml><?xml version="1.0" encoding="utf-8"?>
<sst xmlns="http://schemas.openxmlformats.org/spreadsheetml/2006/main" count="133" uniqueCount="110">
  <si>
    <t>Water pH</t>
  </si>
  <si>
    <t>Water, Ca++ mval</t>
  </si>
  <si>
    <t>Water Mg++, mval</t>
  </si>
  <si>
    <t>r1</t>
  </si>
  <si>
    <t>r2</t>
  </si>
  <si>
    <t>f1</t>
  </si>
  <si>
    <t>f2</t>
  </si>
  <si>
    <t>f3</t>
  </si>
  <si>
    <t>Carbo</t>
  </si>
  <si>
    <t>1st coef</t>
  </si>
  <si>
    <t>2nd coef</t>
  </si>
  <si>
    <t>3d coef</t>
  </si>
  <si>
    <t>Carbo Charge/L</t>
  </si>
  <si>
    <t>Acid Req/L</t>
  </si>
  <si>
    <t>Acid Req/kg</t>
  </si>
  <si>
    <t>mEq/kg-pH</t>
  </si>
  <si>
    <t xml:space="preserve"> </t>
  </si>
  <si>
    <t>RA</t>
  </si>
  <si>
    <t>r3</t>
  </si>
  <si>
    <t>f4</t>
  </si>
  <si>
    <t>The Water</t>
  </si>
  <si>
    <t>Calcium reaction with phosphate</t>
  </si>
  <si>
    <t>Magnesium reaction with phosphate</t>
  </si>
  <si>
    <t>Phosphoric acid</t>
  </si>
  <si>
    <t>Phosphoric acid added , mmol</t>
  </si>
  <si>
    <t>Bicarbonate Addded, mmol</t>
  </si>
  <si>
    <t>Bicarbonate Added</t>
  </si>
  <si>
    <t>Carbonate Added</t>
  </si>
  <si>
    <t>Malt 1</t>
  </si>
  <si>
    <t>Malt 2</t>
  </si>
  <si>
    <t>Malt 3</t>
  </si>
  <si>
    <t>Malt 4</t>
  </si>
  <si>
    <t>Total: all sources and sinks</t>
  </si>
  <si>
    <t>Carbonate Added, mmol</t>
  </si>
  <si>
    <t>Malt 2 (600L Chocolate) model</t>
  </si>
  <si>
    <t>Malt 3 (80L Caramel) model</t>
  </si>
  <si>
    <t>DI pH (@ 20 °C)</t>
  </si>
  <si>
    <t>DI pH@47°C</t>
  </si>
  <si>
    <t>Lbs                   Malt1                          kg</t>
  </si>
  <si>
    <t>Lbs                   Malt4                          kg</t>
  </si>
  <si>
    <t>Lbs                   Malt2                          kg</t>
  </si>
  <si>
    <t>Lbs                   Malt3                          kg</t>
  </si>
  <si>
    <t>qts/lb                                       L/kg</t>
  </si>
  <si>
    <t>gal                 Water                            L</t>
  </si>
  <si>
    <t xml:space="preserve"> lbs              total malt              kg</t>
  </si>
  <si>
    <t>pH Est at 47 °C</t>
  </si>
  <si>
    <t>pK1</t>
  </si>
  <si>
    <t>pK2</t>
  </si>
  <si>
    <t>pK3</t>
  </si>
  <si>
    <t>pK4</t>
  </si>
  <si>
    <t>pH</t>
  </si>
  <si>
    <t>mEq/mmol</t>
  </si>
  <si>
    <t>Alk End Point</t>
  </si>
  <si>
    <t>Water Alk</t>
  </si>
  <si>
    <t>Q(pHt)</t>
  </si>
  <si>
    <t>=</t>
  </si>
  <si>
    <t>Lbs                   Malt 5                         kg</t>
  </si>
  <si>
    <t>Malt 5</t>
  </si>
  <si>
    <t>Malt 6</t>
  </si>
  <si>
    <t>Malt 7</t>
  </si>
  <si>
    <t>Malt 4  model</t>
  </si>
  <si>
    <t>Malt 5  model</t>
  </si>
  <si>
    <t>Malt 6 model</t>
  </si>
  <si>
    <t>PROTON DEFICITS</t>
  </si>
  <si>
    <t>Strong Acid/Base</t>
  </si>
  <si>
    <t>Strong Acid(-)/Base(+) Added, mEq</t>
  </si>
  <si>
    <t xml:space="preserve">Water Alk, mval </t>
  </si>
  <si>
    <t>Munich II  Weyermann</t>
  </si>
  <si>
    <t>Munich I   Weyermann</t>
  </si>
  <si>
    <t>Munich Light  Franco Belges</t>
  </si>
  <si>
    <t>Vienna   Weyermann</t>
  </si>
  <si>
    <t>Cara Munich III  Weyermann</t>
  </si>
  <si>
    <t>Caramunich II  Weyermann</t>
  </si>
  <si>
    <t>Cara Minich I  Weyermann</t>
  </si>
  <si>
    <t>Cara Aroma  Weyermann</t>
  </si>
  <si>
    <t>Crystal 10 L  Briess</t>
  </si>
  <si>
    <t>Crystal 20L Briess</t>
  </si>
  <si>
    <t>Crystal 40 L Briess</t>
  </si>
  <si>
    <t>Crystal 60 L Briess</t>
  </si>
  <si>
    <t>Crystal 90 L Briess</t>
  </si>
  <si>
    <t>Crystal 120 L Briess</t>
  </si>
  <si>
    <t>Crystal 150 L Briess</t>
  </si>
  <si>
    <t>DI pH</t>
  </si>
  <si>
    <t>Acid to 5.7</t>
  </si>
  <si>
    <t>Roast Barley Briess</t>
  </si>
  <si>
    <t>Black Patent Briess</t>
  </si>
  <si>
    <t>Carafa III   Weyerman</t>
  </si>
  <si>
    <t>Carafa I Weyermann</t>
  </si>
  <si>
    <t>Carafa I (sp) Weyermann</t>
  </si>
  <si>
    <t>Biscuit</t>
  </si>
  <si>
    <t>Sauermalz</t>
  </si>
  <si>
    <t>Sauermalz  Weyermann</t>
  </si>
  <si>
    <t>color, EBC</t>
  </si>
  <si>
    <t>r's</t>
  </si>
  <si>
    <t>f's</t>
  </si>
  <si>
    <t>Generic Acid Charge calculator</t>
  </si>
  <si>
    <t>Q</t>
  </si>
  <si>
    <t>1st Coef (aprox)</t>
  </si>
  <si>
    <t>Target pH @ 20 °C</t>
  </si>
  <si>
    <t>Proton source or sink</t>
  </si>
  <si>
    <t>Mash pH/Proton Deficit Calculator. See November MBAA presentation slides for explanation</t>
  </si>
  <si>
    <t>Lbs                   Malt 6                         kg</t>
  </si>
  <si>
    <t>Lbs                   Malt 7                         kg</t>
  </si>
  <si>
    <t>Wt'd Sum</t>
  </si>
  <si>
    <t>Wtd Avg</t>
  </si>
  <si>
    <t>pH/mEq</t>
  </si>
  <si>
    <t>HLac mL</t>
  </si>
  <si>
    <t>per kg</t>
  </si>
  <si>
    <t>Malt 7 Weyermann Floor Pils</t>
  </si>
  <si>
    <t>Malt 1 Weyermann Regular Pils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</si>
</sst>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
    <numFmt numFmtId="165" formatCode="0.0%"/>
  </numFmts>
  <fonts count="5" x14ac:knownFonts="1">
    <font>
      <sz val="12"/>
      <color theme="1"/>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
      <b/>
      <sz val="18"/>
      <color theme="1"/>
      <name val="Calibri"/>
      <scheme val="minor"/>
    </font>
  </fonts>
  <fills count="6">
    <fill>
      <patternFill patternType="none"/>
    </fill>
    <fill>
      <patternFill patternType="gray125"/>
    </fill>
    <fill>
      <patternFill patternType="solid">
        <fgColor theme="3" tint="0.59999389629810485"/>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FFFF00"/>
        <bgColor indexed="64"/>
      </patternFill>
    </fill>
  </fills>
  <borders count="1">
    <border>
      <left/>
      <right/>
      <top/>
      <bottom/>
      <diagonal/>
    </border>
  </borders>
  <cellStyleXfs count="91">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18">
    <xf numFmtId="0" fontId="0" fillId="0" borderId="0" xfId="0"/>
    <xf numFmtId="0" fontId="1" fillId="0" borderId="0" xfId="0" applyFont="1"/>
    <xf numFmtId="2" fontId="0" fillId="0" borderId="0" xfId="0" applyNumberFormat="1"/>
    <xf numFmtId="164" fontId="0" fillId="0" borderId="0" xfId="0" applyNumberFormat="1"/>
    <xf numFmtId="0" fontId="0" fillId="2" borderId="0" xfId="0" applyFill="1"/>
    <xf numFmtId="0" fontId="0" fillId="2" borderId="0" xfId="0" applyFont="1" applyFill="1"/>
    <xf numFmtId="0" fontId="0" fillId="3" borderId="0" xfId="0" applyFill="1"/>
    <xf numFmtId="2" fontId="0" fillId="2" borderId="0" xfId="0" applyNumberFormat="1" applyFill="1"/>
    <xf numFmtId="2" fontId="0" fillId="3" borderId="0" xfId="0" applyNumberFormat="1" applyFill="1"/>
    <xf numFmtId="0" fontId="0" fillId="4" borderId="0" xfId="0" applyFill="1"/>
    <xf numFmtId="2" fontId="0" fillId="4" borderId="0" xfId="0" applyNumberFormat="1" applyFill="1"/>
    <xf numFmtId="0" fontId="1" fillId="5" borderId="0" xfId="0" applyFont="1" applyFill="1"/>
    <xf numFmtId="2" fontId="1" fillId="5" borderId="0" xfId="0" applyNumberFormat="1" applyFont="1" applyFill="1"/>
    <xf numFmtId="164" fontId="0" fillId="3" borderId="0" xfId="0" applyNumberFormat="1" applyFill="1"/>
    <xf numFmtId="164" fontId="1" fillId="5" borderId="0" xfId="0" applyNumberFormat="1" applyFont="1" applyFill="1"/>
    <xf numFmtId="0" fontId="4" fillId="0" borderId="0" xfId="0" applyFont="1"/>
    <xf numFmtId="165" fontId="0" fillId="0" borderId="0" xfId="0" applyNumberFormat="1"/>
    <xf numFmtId="2" fontId="0" fillId="2" borderId="0" xfId="0" applyNumberFormat="1" applyFont="1" applyFill="1"/>
  </cellXfs>
  <cellStyles count="91">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10</xdr:col>
      <xdr:colOff>38100</xdr:colOff>
      <xdr:row>38</xdr:row>
      <xdr:rowOff>114300</xdr:rowOff>
    </xdr:from>
    <xdr:to>
      <xdr:col>15</xdr:col>
      <xdr:colOff>127000</xdr:colOff>
      <xdr:row>57</xdr:row>
      <xdr:rowOff>76200</xdr:rowOff>
    </xdr:to>
    <xdr:sp macro="" textlink="">
      <xdr:nvSpPr>
        <xdr:cNvPr id="2" name="TextBox 1"/>
        <xdr:cNvSpPr txBox="1"/>
      </xdr:nvSpPr>
      <xdr:spPr>
        <a:xfrm>
          <a:off x="11607800" y="6781800"/>
          <a:ext cx="6705600" cy="2057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INSTRUCTIONS:</a:t>
          </a:r>
        </a:p>
        <a:p>
          <a:endParaRPr lang="en-US" sz="1100"/>
        </a:p>
        <a:p>
          <a:r>
            <a:rPr lang="en-US" sz="1100"/>
            <a:t>1.Enter water parameters</a:t>
          </a:r>
          <a:r>
            <a:rPr lang="en-US" sz="1100" baseline="0"/>
            <a:t> in liters, mVal (mVal = ppm_as_CACO3/50) in Col C. English values and ppm as CaCO3 are calculated in Col A. Alk End Point is the value to which you or the lab titrated when measuring water alkalinity. If unknown, use 4.5.</a:t>
          </a:r>
        </a:p>
        <a:p>
          <a:r>
            <a:rPr lang="en-US" sz="1100" baseline="0"/>
            <a:t>2. Enter mVal calcium ((mg/L)/50) and magnesium ((mg/L)/12.15) ions in Col C. ppm as CaCO3 calculated in Col. A.</a:t>
          </a:r>
        </a:p>
        <a:p>
          <a:r>
            <a:rPr lang="en-US" sz="1100" baseline="0"/>
            <a:t>3. Enter amounts of each malt type in kg in Col C. Pounds are calculated in Col. A.</a:t>
          </a:r>
        </a:p>
        <a:p>
          <a:r>
            <a:rPr lang="en-US" sz="1100" baseline="0"/>
            <a:t>4. Enter total mEq of strong acid (HCl, H2SO4, HLac)  as a negative number and of strong base )NaOH, KOH,       Ca(OH2) as a positive number.</a:t>
          </a:r>
        </a:p>
        <a:p>
          <a:r>
            <a:rPr lang="en-US" sz="1100" baseline="0"/>
            <a:t>5. Enter total mmol phosphoric acid added as a positive number</a:t>
          </a:r>
        </a:p>
        <a:p>
          <a:r>
            <a:rPr lang="en-US" sz="1100" baseline="0"/>
            <a:t>6. Enter total  mmol of bicarbonate added as a positive number (e.g. you added NaHCO3)</a:t>
          </a:r>
        </a:p>
        <a:p>
          <a:r>
            <a:rPr lang="en-US" sz="1100" baseline="0"/>
            <a:t>7. Enter total mmol of cabonate added as a positive number (e.g. you added Na2CO3)</a:t>
          </a:r>
        </a:p>
        <a:p>
          <a:r>
            <a:rPr lang="en-US" sz="1100" baseline="0"/>
            <a:t>8. Enter DI water mash pH (Col. C) and three malt coefficients (Col D, E, F) for each malt. If you do not have malt data you can use DI pH and 1st coeff data taken from Troester's paper (Rows 53 - 76)</a:t>
          </a:r>
        </a:p>
        <a:p>
          <a:r>
            <a:rPr lang="en-US" sz="1100" baseline="0"/>
            <a:t>9. Enter a trial pH in C5. Read Total Proton Deficit in M33.</a:t>
          </a:r>
        </a:p>
        <a:p>
          <a:r>
            <a:rPr lang="en-US" sz="1100" baseline="0"/>
            <a:t>10. Tell Solver (Tools) to zero cell M33 by adjusting cell C5 or do this manually using a bisection scheme (see MBAA slides) or just guessing. Value in C5 wjem M33 = 0 is predicted pH.</a:t>
          </a:r>
        </a:p>
        <a:p>
          <a:r>
            <a:rPr lang="en-US" sz="1100" baseline="0"/>
            <a:t>11. To set to a desired pH enter it in C5 and adjust malt quantities, amounts of added acids or base, alkalinity of water until M33 = 0.</a:t>
          </a:r>
          <a:endParaRPr lang="en-US" sz="1100"/>
        </a:p>
      </xdr:txBody>
    </xdr:sp>
    <xdr:clientData/>
  </xdr:twoCellAnchor>
  <xdr:twoCellAnchor>
    <xdr:from>
      <xdr:col>0</xdr:col>
      <xdr:colOff>203200</xdr:colOff>
      <xdr:row>49</xdr:row>
      <xdr:rowOff>0</xdr:rowOff>
    </xdr:from>
    <xdr:to>
      <xdr:col>9</xdr:col>
      <xdr:colOff>723900</xdr:colOff>
      <xdr:row>55</xdr:row>
      <xdr:rowOff>25400</xdr:rowOff>
    </xdr:to>
    <xdr:sp macro="" textlink="">
      <xdr:nvSpPr>
        <xdr:cNvPr id="3" name="TextBox 2"/>
        <xdr:cNvSpPr txBox="1"/>
      </xdr:nvSpPr>
      <xdr:spPr>
        <a:xfrm>
          <a:off x="203200" y="8763000"/>
          <a:ext cx="11023600" cy="1168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The following data</a:t>
          </a:r>
          <a:r>
            <a:rPr lang="en-US" sz="1100" baseline="0"/>
            <a:t> are taken from Kai Troesters paper " The effect of brewing water and grist composition on the pH of the mash" www.braukaiser.com, Table 4. He measured DI mash pH and the amount of base required to move 1 kg to pH 5.7 i.e. he measured the proton surfeits of each of the tabulated malts WRT pH 5.7. Dividing these numbers by the difference between DI pH and 5.7 gives the </a:t>
          </a:r>
          <a:r>
            <a:rPr lang="en-US" sz="1100" i="1" baseline="0"/>
            <a:t>average</a:t>
          </a:r>
          <a:r>
            <a:rPr lang="en-US" sz="1100" baseline="0"/>
            <a:t> slope between DI pH and 5.7 which is an approximation to the slope at DI pH and, therefore, an approximation to the first coefficient. These numbers can be used in the malt models above with the 2nd and 3rd coefficients set to 0. Based on color data you can use 1st_Coef = -32.9 - 0.05816*EBC_color for the slope (r = -0.86) and, from the paper,  pHDI = 5.82 - 0.02*EBC_Color (r = 0.73) for the DI pH for colored, but not roast malts. As Troester's data does assumes linearity some error has to be expected. Also his titration method did not include the effects of pH drift over time nor did he use laboratory grade titrants. Nonetheless this data may be useful  for obtaining approximate estimates of mash pH.</a:t>
          </a:r>
        </a:p>
      </xdr:txBody>
    </xdr:sp>
    <xdr:clientData/>
  </xdr:twoCellAnchor>
  <xdr:twoCellAnchor>
    <xdr:from>
      <xdr:col>1</xdr:col>
      <xdr:colOff>25400</xdr:colOff>
      <xdr:row>41</xdr:row>
      <xdr:rowOff>139700</xdr:rowOff>
    </xdr:from>
    <xdr:to>
      <xdr:col>2</xdr:col>
      <xdr:colOff>1447800</xdr:colOff>
      <xdr:row>46</xdr:row>
      <xdr:rowOff>0</xdr:rowOff>
    </xdr:to>
    <xdr:sp macro="" textlink="">
      <xdr:nvSpPr>
        <xdr:cNvPr id="4" name="TextBox 3"/>
        <xdr:cNvSpPr txBox="1"/>
      </xdr:nvSpPr>
      <xdr:spPr>
        <a:xfrm>
          <a:off x="1054100" y="7378700"/>
          <a:ext cx="3873500" cy="812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Charge</a:t>
          </a:r>
          <a:r>
            <a:rPr lang="en-US" sz="1100" baseline="0"/>
            <a:t> Calculator for Arbitrary Acid:</a:t>
          </a:r>
        </a:p>
        <a:p>
          <a:r>
            <a:rPr lang="en-US" sz="1100" baseline="0"/>
            <a:t>Enter negative number for strong acid pK's</a:t>
          </a:r>
        </a:p>
        <a:p>
          <a:r>
            <a:rPr lang="en-US" sz="1100" baseline="0"/>
            <a:t>Enter a large positive number for pK of non existant proton.</a:t>
          </a:r>
        </a:p>
        <a:p>
          <a:r>
            <a:rPr lang="en-US" sz="1100" baseline="0"/>
            <a:t>Example: Lactic acid: pK1 = 3.86; pK2 = pK3 = pK4 = 40</a:t>
          </a:r>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jdelange/Downloads/BURP_OCT08i.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Answer Report 1"/>
      <sheetName val="Answer Report 2"/>
      <sheetName val="Sheet1"/>
      <sheetName val="Instructions"/>
      <sheetName val="Sheet3"/>
    </sheetNames>
    <sheetDataSet>
      <sheetData sheetId="0"/>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0"/>
  <sheetViews>
    <sheetView tabSelected="1" topLeftCell="D4" workbookViewId="0">
      <selection activeCell="P9" sqref="P9"/>
    </sheetView>
  </sheetViews>
  <sheetFormatPr baseColWidth="10" defaultRowHeight="15" x14ac:dyDescent="0"/>
  <cols>
    <col min="1" max="1" width="13.5" customWidth="1"/>
    <col min="2" max="2" width="32.1640625" customWidth="1"/>
    <col min="3" max="3" width="21.83203125" customWidth="1"/>
    <col min="5" max="5" width="14.33203125" customWidth="1"/>
    <col min="6" max="7" width="12.1640625" bestFit="1" customWidth="1"/>
    <col min="9" max="9" width="12.1640625" customWidth="1"/>
    <col min="10" max="10" width="14" customWidth="1"/>
    <col min="11" max="11" width="14.83203125" customWidth="1"/>
    <col min="12" max="12" width="13.6640625" customWidth="1"/>
    <col min="13" max="13" width="19.1640625" customWidth="1"/>
    <col min="14" max="14" width="30.6640625" customWidth="1"/>
    <col min="15" max="15" width="19.83203125" customWidth="1"/>
  </cols>
  <sheetData>
    <row r="1" spans="1:21" ht="28" customHeight="1">
      <c r="B1" s="15" t="s">
        <v>100</v>
      </c>
    </row>
    <row r="4" spans="1:21">
      <c r="B4" s="4" t="s">
        <v>52</v>
      </c>
      <c r="C4" s="4">
        <v>4</v>
      </c>
      <c r="I4" t="s">
        <v>54</v>
      </c>
      <c r="J4" t="s">
        <v>53</v>
      </c>
    </row>
    <row r="5" spans="1:21">
      <c r="A5">
        <f>C5/3.785</f>
        <v>26.420079260237781</v>
      </c>
      <c r="B5" s="4" t="s">
        <v>43</v>
      </c>
      <c r="C5" s="4">
        <v>100</v>
      </c>
      <c r="D5" t="s">
        <v>3</v>
      </c>
      <c r="E5" t="s">
        <v>4</v>
      </c>
      <c r="F5" t="s">
        <v>5</v>
      </c>
      <c r="G5" t="s">
        <v>6</v>
      </c>
      <c r="H5" t="s">
        <v>7</v>
      </c>
      <c r="I5" t="s">
        <v>55</v>
      </c>
      <c r="J5">
        <f>1000*(10^(-C4) - 10^(-C7) + 10^(C7-14)-10^(C4-14))</f>
        <v>0.10199015044263263</v>
      </c>
    </row>
    <row r="6" spans="1:21">
      <c r="A6">
        <f>50*C6</f>
        <v>100</v>
      </c>
      <c r="B6" s="4" t="s">
        <v>66</v>
      </c>
      <c r="C6" s="4">
        <f>2</f>
        <v>2</v>
      </c>
      <c r="D6">
        <f>10^(C4-6.38)</f>
        <v>4.1686938347033527E-3</v>
      </c>
      <c r="E6">
        <f>10^(C4-10.38)</f>
        <v>4.1686938347033419E-7</v>
      </c>
      <c r="F6">
        <f>1/(1+D6+D6*E6)</f>
        <v>0.99584861030732741</v>
      </c>
      <c r="G6">
        <f t="shared" ref="G6:H8" si="0">F6*D6</f>
        <v>4.151387962086057E-3</v>
      </c>
      <c r="H6">
        <f t="shared" si="0"/>
        <v>1.7305865403009817E-9</v>
      </c>
      <c r="I6">
        <f>-(G6+2*H6)</f>
        <v>-4.1513914232591377E-3</v>
      </c>
      <c r="J6" t="s">
        <v>8</v>
      </c>
      <c r="K6" t="s">
        <v>12</v>
      </c>
      <c r="L6" t="s">
        <v>13</v>
      </c>
      <c r="M6" s="1" t="s">
        <v>63</v>
      </c>
      <c r="N6" t="s">
        <v>99</v>
      </c>
    </row>
    <row r="7" spans="1:21">
      <c r="B7" s="4" t="s">
        <v>0</v>
      </c>
      <c r="C7" s="4">
        <v>8.3000000000000007</v>
      </c>
      <c r="D7">
        <f>10^(C7-6.38)</f>
        <v>83.176377110267268</v>
      </c>
      <c r="E7">
        <f>10^(C7-10.38)</f>
        <v>8.3176377110267055E-3</v>
      </c>
      <c r="F7">
        <f>1/(1+D7+D7*E7)</f>
        <v>1.1782975304997424E-2</v>
      </c>
      <c r="G7">
        <f t="shared" si="0"/>
        <v>0.98006519744943221</v>
      </c>
      <c r="H7">
        <f t="shared" si="0"/>
        <v>8.1518272455702312E-3</v>
      </c>
      <c r="I7">
        <f>-(G7+2*H7)</f>
        <v>-0.99636885194057268</v>
      </c>
      <c r="J7">
        <f>(C6-J5)/(I6-I7)</f>
        <v>1.9128970463468764</v>
      </c>
      <c r="K7">
        <f>-J7*(G7+2*H7)</f>
        <v>-1.9059510339491497</v>
      </c>
      <c r="U7">
        <f>20200+[1]Sheet1!$C$7000/120</f>
        <v>20200</v>
      </c>
    </row>
    <row r="8" spans="1:21">
      <c r="B8" s="11" t="s">
        <v>98</v>
      </c>
      <c r="C8" s="14">
        <v>5.4398564172154495</v>
      </c>
      <c r="D8">
        <f>10^(C8-6.38)</f>
        <v>0.11477740913567684</v>
      </c>
      <c r="E8">
        <f>10^(C8-10.38)</f>
        <v>1.1477740913567647E-5</v>
      </c>
      <c r="F8">
        <f>1/(1+D8+D8*E8)</f>
        <v>0.89703900532867309</v>
      </c>
      <c r="G8">
        <f t="shared" si="0"/>
        <v>0.10295981292526971</v>
      </c>
      <c r="H8">
        <f t="shared" si="0"/>
        <v>1.1817460572656392E-6</v>
      </c>
      <c r="I8">
        <f>-(G8+2*H8)</f>
        <v>-0.10296217641738424</v>
      </c>
      <c r="K8">
        <f>-J7*(G8+2*H8)</f>
        <v>-0.19695604315426032</v>
      </c>
      <c r="L8">
        <f>K8-K7+J5</f>
        <v>1.810985141237522</v>
      </c>
      <c r="M8" s="7">
        <f>L8*C5</f>
        <v>181.09851412375221</v>
      </c>
      <c r="N8" s="4" t="s">
        <v>20</v>
      </c>
      <c r="O8">
        <f>A5*3.785*C6*0.8/0.9</f>
        <v>177.77777777777777</v>
      </c>
      <c r="P8">
        <f>(A6/15)*A5</f>
        <v>176.13386173491855</v>
      </c>
      <c r="Q8">
        <f>M8/C5</f>
        <v>1.8109851412375222</v>
      </c>
      <c r="R8">
        <f>Q8/(Q8+Q27)</f>
        <v>1</v>
      </c>
    </row>
    <row r="9" spans="1:21">
      <c r="A9">
        <f>50*C9</f>
        <v>57.142857142857139</v>
      </c>
      <c r="B9" s="5" t="s">
        <v>17</v>
      </c>
      <c r="C9" s="17">
        <f>C6-C10/3.5-C11/7</f>
        <v>1.1428571428571428</v>
      </c>
      <c r="D9">
        <f>50*C9</f>
        <v>57.142857142857139</v>
      </c>
      <c r="I9">
        <f>I8-I7</f>
        <v>0.89340667552318842</v>
      </c>
      <c r="M9" s="7"/>
      <c r="N9" s="4"/>
    </row>
    <row r="10" spans="1:21">
      <c r="A10">
        <f>50*C10</f>
        <v>100</v>
      </c>
      <c r="B10" s="4" t="s">
        <v>1</v>
      </c>
      <c r="C10" s="4">
        <f>2</f>
        <v>2</v>
      </c>
      <c r="L10">
        <f>-C10/3.5</f>
        <v>-0.5714285714285714</v>
      </c>
      <c r="M10" s="7">
        <f>L10*C5</f>
        <v>-57.142857142857139</v>
      </c>
      <c r="N10" s="4" t="s">
        <v>21</v>
      </c>
    </row>
    <row r="11" spans="1:21">
      <c r="A11">
        <f>50*C11</f>
        <v>100</v>
      </c>
      <c r="B11" s="4" t="s">
        <v>2</v>
      </c>
      <c r="C11" s="4">
        <f>2</f>
        <v>2</v>
      </c>
      <c r="L11">
        <f>-C11/7</f>
        <v>-0.2857142857142857</v>
      </c>
      <c r="M11" s="7">
        <f>L11*C5</f>
        <v>-28.571428571428569</v>
      </c>
      <c r="N11" s="4" t="s">
        <v>22</v>
      </c>
    </row>
    <row r="12" spans="1:21">
      <c r="A12">
        <f>C12/0.453592</f>
        <v>0</v>
      </c>
      <c r="B12" s="6" t="s">
        <v>38</v>
      </c>
      <c r="C12" s="6">
        <v>0</v>
      </c>
      <c r="D12" s="16">
        <f>C12/$C$35</f>
        <v>0</v>
      </c>
      <c r="M12" s="2"/>
    </row>
    <row r="13" spans="1:21">
      <c r="A13">
        <f t="shared" ref="A13:A18" si="1">C13/0.453592</f>
        <v>4.4092488403675549</v>
      </c>
      <c r="B13" s="6" t="s">
        <v>40</v>
      </c>
      <c r="C13" s="6">
        <v>2</v>
      </c>
      <c r="D13" s="16">
        <f t="shared" ref="D13:D17" si="2">C13/$C$35</f>
        <v>0.05</v>
      </c>
      <c r="M13" s="2"/>
    </row>
    <row r="14" spans="1:21">
      <c r="A14">
        <f t="shared" si="1"/>
        <v>17.63699536147022</v>
      </c>
      <c r="B14" s="6" t="s">
        <v>41</v>
      </c>
      <c r="C14" s="6">
        <v>8</v>
      </c>
      <c r="D14" s="16">
        <f t="shared" si="2"/>
        <v>0.2</v>
      </c>
      <c r="M14" s="2"/>
    </row>
    <row r="15" spans="1:21">
      <c r="A15">
        <f t="shared" si="1"/>
        <v>0</v>
      </c>
      <c r="B15" s="6" t="s">
        <v>39</v>
      </c>
      <c r="C15" s="6">
        <v>0</v>
      </c>
      <c r="D15" s="16">
        <f t="shared" si="2"/>
        <v>0</v>
      </c>
      <c r="M15" s="2"/>
    </row>
    <row r="16" spans="1:21">
      <c r="A16">
        <f t="shared" si="1"/>
        <v>0</v>
      </c>
      <c r="B16" s="6" t="s">
        <v>56</v>
      </c>
      <c r="C16" s="6">
        <v>0</v>
      </c>
      <c r="D16" s="16">
        <f t="shared" si="2"/>
        <v>0</v>
      </c>
      <c r="M16" s="2"/>
    </row>
    <row r="17" spans="1:17">
      <c r="A17">
        <f t="shared" si="1"/>
        <v>0</v>
      </c>
      <c r="B17" s="6" t="s">
        <v>101</v>
      </c>
      <c r="C17" s="6">
        <v>0</v>
      </c>
      <c r="D17" s="16">
        <f t="shared" si="2"/>
        <v>0</v>
      </c>
      <c r="M17" s="2"/>
    </row>
    <row r="18" spans="1:17">
      <c r="A18">
        <f t="shared" si="1"/>
        <v>66.138732605513326</v>
      </c>
      <c r="B18" s="6" t="s">
        <v>102</v>
      </c>
      <c r="C18" s="6">
        <v>30</v>
      </c>
      <c r="D18" s="16">
        <f>C18/$C$35</f>
        <v>0.75</v>
      </c>
      <c r="L18" t="s">
        <v>106</v>
      </c>
      <c r="M18" s="2"/>
    </row>
    <row r="19" spans="1:17">
      <c r="B19" s="9" t="s">
        <v>65</v>
      </c>
      <c r="C19" s="9">
        <v>0</v>
      </c>
      <c r="D19" t="s">
        <v>3</v>
      </c>
      <c r="E19" t="s">
        <v>4</v>
      </c>
      <c r="F19" t="s">
        <v>18</v>
      </c>
      <c r="G19" t="s">
        <v>5</v>
      </c>
      <c r="H19" t="s">
        <v>6</v>
      </c>
      <c r="J19" t="s">
        <v>7</v>
      </c>
      <c r="K19" t="s">
        <v>19</v>
      </c>
      <c r="L19" s="2">
        <f>-C19/90.08/0.88/1.206</f>
        <v>0</v>
      </c>
      <c r="M19" s="10">
        <f>C19</f>
        <v>0</v>
      </c>
      <c r="N19" s="9" t="s">
        <v>64</v>
      </c>
    </row>
    <row r="20" spans="1:17">
      <c r="B20" s="9" t="s">
        <v>24</v>
      </c>
      <c r="C20" s="9">
        <v>0</v>
      </c>
      <c r="D20">
        <f>10^(C8-2.123)</f>
        <v>2074.2276404056543</v>
      </c>
      <c r="E20">
        <f>10^(C8-7.214)</f>
        <v>1.6821178414930426E-2</v>
      </c>
      <c r="F20">
        <f>10^(C8-12.44)</f>
        <v>9.9966944306667001E-8</v>
      </c>
      <c r="G20">
        <f>1/(1+D20+D20*E20+D20*E20*F20)</f>
        <v>4.7390701232218318E-4</v>
      </c>
      <c r="H20">
        <f>G20*D20</f>
        <v>0.98299102394073534</v>
      </c>
      <c r="J20">
        <f>H20*E20</f>
        <v>1.6535067393982254E-2</v>
      </c>
      <c r="K20">
        <f>J20*F20</f>
        <v>1.6529601612812094E-9</v>
      </c>
      <c r="M20" s="10">
        <f>-C20*(H20+2*J20+3*K20)</f>
        <v>0</v>
      </c>
      <c r="N20" s="9" t="s">
        <v>23</v>
      </c>
    </row>
    <row r="21" spans="1:17">
      <c r="B21" s="9" t="s">
        <v>25</v>
      </c>
      <c r="C21" s="9">
        <v>0</v>
      </c>
      <c r="M21" s="10">
        <f>C21*(F8-H8)</f>
        <v>0</v>
      </c>
      <c r="N21" s="9" t="s">
        <v>26</v>
      </c>
    </row>
    <row r="22" spans="1:17">
      <c r="B22" s="9" t="s">
        <v>33</v>
      </c>
      <c r="C22" s="9">
        <v>0</v>
      </c>
      <c r="M22" s="10">
        <f>(2*F8+G8)*C22</f>
        <v>0</v>
      </c>
      <c r="N22" s="9" t="s">
        <v>27</v>
      </c>
    </row>
    <row r="23" spans="1:17">
      <c r="B23" t="s">
        <v>45</v>
      </c>
      <c r="C23" s="3">
        <f>C8-0.005*(47-20)</f>
        <v>5.3048564172154498</v>
      </c>
      <c r="M23" s="2"/>
    </row>
    <row r="24" spans="1:17">
      <c r="B24" t="s">
        <v>16</v>
      </c>
      <c r="C24" t="s">
        <v>16</v>
      </c>
      <c r="M24" s="2"/>
    </row>
    <row r="25" spans="1:17">
      <c r="B25" t="s">
        <v>16</v>
      </c>
      <c r="C25" t="s">
        <v>16</v>
      </c>
      <c r="M25" s="2"/>
    </row>
    <row r="26" spans="1:17">
      <c r="A26" t="s">
        <v>37</v>
      </c>
      <c r="C26" t="s">
        <v>36</v>
      </c>
      <c r="D26" t="s">
        <v>9</v>
      </c>
      <c r="E26" t="s">
        <v>10</v>
      </c>
      <c r="F26" t="s">
        <v>11</v>
      </c>
      <c r="K26" t="s">
        <v>15</v>
      </c>
      <c r="L26" t="s">
        <v>14</v>
      </c>
      <c r="M26" s="2"/>
    </row>
    <row r="27" spans="1:17">
      <c r="A27" s="6">
        <f>5.483</f>
        <v>5.4829999999999997</v>
      </c>
      <c r="B27" s="6" t="s">
        <v>109</v>
      </c>
      <c r="C27" s="13">
        <f>A27+0.0055*(45.4-20)</f>
        <v>5.6227</v>
      </c>
      <c r="D27" s="6">
        <v>-40.69</v>
      </c>
      <c r="E27" s="6">
        <v>14.821</v>
      </c>
      <c r="F27" s="6">
        <v>-10.007999999999999</v>
      </c>
      <c r="G27" s="6"/>
      <c r="H27" s="6"/>
      <c r="I27" s="6"/>
      <c r="J27" s="6"/>
      <c r="K27" s="6">
        <f>D27+2*E27*($C$8-C27)+3*F27*($C$8-C27)^2</f>
        <v>-47.113605116482738</v>
      </c>
      <c r="L27" s="6">
        <f t="shared" ref="L27:L33" si="3">D27*($C$8-C27) +E27*($C$8-C27)^2 + F27*($C$8-C27)^3</f>
        <v>7.9965744910070953</v>
      </c>
      <c r="M27" s="8">
        <f t="shared" ref="M27:M32" si="4">L27*C12</f>
        <v>0</v>
      </c>
      <c r="N27" s="6" t="s">
        <v>28</v>
      </c>
      <c r="Q27">
        <f>M27/C5</f>
        <v>0</v>
      </c>
    </row>
    <row r="28" spans="1:17">
      <c r="A28" s="6">
        <v>4.5529999999999999</v>
      </c>
      <c r="B28" s="6" t="s">
        <v>34</v>
      </c>
      <c r="C28" s="13">
        <f>A28+0.0055*(46.5-20)</f>
        <v>4.6987499999999995</v>
      </c>
      <c r="D28" s="6">
        <v>-76.430000000000007</v>
      </c>
      <c r="E28" s="6">
        <f>-0.404</f>
        <v>-0.40400000000000003</v>
      </c>
      <c r="F28" s="6">
        <f>-3.837</f>
        <v>-3.8370000000000002</v>
      </c>
      <c r="G28" s="6"/>
      <c r="H28" s="6"/>
      <c r="I28" s="6"/>
      <c r="J28" s="6"/>
      <c r="K28" s="6">
        <f>D28+2*E28*(C28-$C$8)+3*F28*(C28-$C$8)^2</f>
        <v>-82.153472939664027</v>
      </c>
      <c r="L28" s="6">
        <f t="shared" si="3"/>
        <v>-58.426485048461046</v>
      </c>
      <c r="M28" s="8">
        <f t="shared" si="4"/>
        <v>-116.85297009692209</v>
      </c>
      <c r="N28" s="6" t="s">
        <v>29</v>
      </c>
    </row>
    <row r="29" spans="1:17">
      <c r="A29" s="6">
        <v>4.6210000000000004</v>
      </c>
      <c r="B29" s="6" t="s">
        <v>35</v>
      </c>
      <c r="C29" s="13">
        <f>A29+0.0055*(46.3-20)</f>
        <v>4.7656500000000008</v>
      </c>
      <c r="D29" s="6">
        <v>-89.683999999999997</v>
      </c>
      <c r="E29" s="6">
        <f>31.837</f>
        <v>31.837</v>
      </c>
      <c r="F29" s="6">
        <f>-10.056</f>
        <v>-10.055999999999999</v>
      </c>
      <c r="G29" s="6"/>
      <c r="H29" s="6"/>
      <c r="I29" s="6"/>
      <c r="J29" s="6"/>
      <c r="K29" s="6">
        <f>D29+2*E29*($C$8-C29)+3*F29*($C$8-C29)^2</f>
        <v>-60.467574501884705</v>
      </c>
      <c r="L29" s="6">
        <f t="shared" si="3"/>
        <v>-49.075679459674049</v>
      </c>
      <c r="M29" s="8">
        <f t="shared" si="4"/>
        <v>-392.60543567739239</v>
      </c>
      <c r="N29" s="6" t="s">
        <v>30</v>
      </c>
    </row>
    <row r="30" spans="1:17">
      <c r="A30" s="6">
        <v>4.6210000000000004</v>
      </c>
      <c r="B30" s="6" t="s">
        <v>60</v>
      </c>
      <c r="C30" s="13">
        <v>4.0770798684641827</v>
      </c>
      <c r="D30" s="6">
        <v>-90</v>
      </c>
      <c r="E30" s="6">
        <v>0</v>
      </c>
      <c r="F30" s="6">
        <v>0</v>
      </c>
      <c r="G30" s="6"/>
      <c r="H30" s="6"/>
      <c r="I30" s="6"/>
      <c r="J30" s="6"/>
      <c r="K30" s="6">
        <f>D30+2*E30*($C$8-C30)+3*F30*($C$8-C30)^2</f>
        <v>-90</v>
      </c>
      <c r="L30" s="6">
        <f t="shared" si="3"/>
        <v>-122.64988938761402</v>
      </c>
      <c r="M30" s="8">
        <f t="shared" si="4"/>
        <v>0</v>
      </c>
      <c r="N30" s="6" t="s">
        <v>31</v>
      </c>
    </row>
    <row r="31" spans="1:17">
      <c r="A31" s="6">
        <v>4.6210000000000004</v>
      </c>
      <c r="B31" s="6" t="s">
        <v>61</v>
      </c>
      <c r="C31" s="13">
        <v>4.4800000000000004</v>
      </c>
      <c r="D31" s="6">
        <v>-61</v>
      </c>
      <c r="E31" s="6">
        <v>0</v>
      </c>
      <c r="F31" s="6">
        <v>0</v>
      </c>
      <c r="G31" s="6"/>
      <c r="H31" s="6"/>
      <c r="I31" s="6"/>
      <c r="J31" s="6"/>
      <c r="K31" s="6">
        <f>D31+2*E31*($C$8-C31)+3*F31*($C$8-C31)^2</f>
        <v>-61</v>
      </c>
      <c r="L31" s="6">
        <f t="shared" si="3"/>
        <v>-58.551241450142399</v>
      </c>
      <c r="M31" s="8">
        <f t="shared" si="4"/>
        <v>0</v>
      </c>
      <c r="N31" s="6" t="s">
        <v>57</v>
      </c>
    </row>
    <row r="32" spans="1:17">
      <c r="A32" s="6">
        <v>4.6210000000000004</v>
      </c>
      <c r="B32" s="6" t="s">
        <v>62</v>
      </c>
      <c r="C32" s="13">
        <f>A32+0.0055*(46.3-20)</f>
        <v>4.7656500000000008</v>
      </c>
      <c r="D32" s="6">
        <v>-37</v>
      </c>
      <c r="E32" s="6">
        <v>0</v>
      </c>
      <c r="F32" s="6">
        <v>0</v>
      </c>
      <c r="G32" s="6"/>
      <c r="H32" s="6"/>
      <c r="I32" s="6"/>
      <c r="J32" s="6"/>
      <c r="K32" s="6">
        <f>D32+2*E32*($C$8-C32)+3*F32*($C$8-C32)^2</f>
        <v>-37</v>
      </c>
      <c r="L32" s="6">
        <f t="shared" si="3"/>
        <v>-24.945637436971602</v>
      </c>
      <c r="M32" s="8">
        <f t="shared" si="4"/>
        <v>0</v>
      </c>
      <c r="N32" s="6" t="s">
        <v>58</v>
      </c>
    </row>
    <row r="33" spans="1:16">
      <c r="A33" s="6">
        <v>4.6210000000000004</v>
      </c>
      <c r="B33" s="6" t="s">
        <v>108</v>
      </c>
      <c r="C33" s="13">
        <v>5.8550000000000004</v>
      </c>
      <c r="D33" s="6">
        <v>-31.298999999999999</v>
      </c>
      <c r="E33" s="6">
        <f>3.869</f>
        <v>3.8690000000000002</v>
      </c>
      <c r="F33" s="6">
        <f>-1.986</f>
        <v>-1.986</v>
      </c>
      <c r="G33" s="6"/>
      <c r="H33" s="6"/>
      <c r="I33" s="6"/>
      <c r="J33" s="6"/>
      <c r="K33" s="6">
        <f>D33+2*E33*($C$8-C33)+3*F33*($C$8-C33)^2</f>
        <v>-35.538207753388271</v>
      </c>
      <c r="L33" s="6">
        <f t="shared" si="3"/>
        <v>13.802472191827514</v>
      </c>
      <c r="M33" s="8">
        <f>L33*C18</f>
        <v>414.0741657548254</v>
      </c>
      <c r="N33" s="6" t="s">
        <v>59</v>
      </c>
    </row>
    <row r="34" spans="1:16">
      <c r="M34" s="2"/>
    </row>
    <row r="35" spans="1:16">
      <c r="A35">
        <f>SUM(A12:A14)</f>
        <v>22.046244201837773</v>
      </c>
      <c r="B35" t="s">
        <v>44</v>
      </c>
      <c r="C35">
        <f>SUM(C12:C18)</f>
        <v>40</v>
      </c>
      <c r="K35" t="s">
        <v>103</v>
      </c>
      <c r="L35" t="s">
        <v>105</v>
      </c>
      <c r="M35" s="2"/>
    </row>
    <row r="36" spans="1:16">
      <c r="A36">
        <f>(A5*4)/SUM(A12:A15)</f>
        <v>4.7935746367239105</v>
      </c>
      <c r="B36" t="s">
        <v>42</v>
      </c>
      <c r="C36">
        <f>C5/SUM(C12:C15)</f>
        <v>10</v>
      </c>
      <c r="I36">
        <f>K36*0.345</f>
        <v>-591.39685220113847</v>
      </c>
      <c r="K36">
        <f t="array" ref="K36">SUM(C12:C18*K27:K33)</f>
        <v>-1714.1937744960537</v>
      </c>
      <c r="L36">
        <f>1/K36</f>
        <v>-5.8336462007860484E-4</v>
      </c>
      <c r="M36" s="12">
        <f>SUM(M8:M33)</f>
        <v>-1.1610022568220302E-5</v>
      </c>
      <c r="N36" s="11" t="s">
        <v>32</v>
      </c>
      <c r="O36">
        <f>M36/C35</f>
        <v>-2.9025056420550753E-7</v>
      </c>
      <c r="P36" t="s">
        <v>107</v>
      </c>
    </row>
    <row r="37" spans="1:16">
      <c r="K37" t="s">
        <v>104</v>
      </c>
    </row>
    <row r="38" spans="1:16">
      <c r="C38" t="s">
        <v>16</v>
      </c>
      <c r="K38">
        <f>K36/C35</f>
        <v>-42.854844362401344</v>
      </c>
      <c r="L38">
        <f>1/K38</f>
        <v>-2.3334584803144192E-2</v>
      </c>
    </row>
    <row r="39" spans="1:16">
      <c r="C39" t="s">
        <v>16</v>
      </c>
    </row>
    <row r="41" spans="1:16">
      <c r="B41" t="s">
        <v>16</v>
      </c>
      <c r="D41" t="s">
        <v>95</v>
      </c>
    </row>
    <row r="42" spans="1:16">
      <c r="F42" t="s">
        <v>93</v>
      </c>
      <c r="G42" t="s">
        <v>94</v>
      </c>
      <c r="H42" t="s">
        <v>96</v>
      </c>
      <c r="N42" t="s">
        <v>16</v>
      </c>
    </row>
    <row r="43" spans="1:16">
      <c r="D43" t="s">
        <v>50</v>
      </c>
      <c r="E43">
        <v>7</v>
      </c>
      <c r="G43">
        <f>1/(1+F44+ F44*F45 + F44*F45*F46 +F44*F45*F46*F47)</f>
        <v>0.19340745038147805</v>
      </c>
      <c r="H43" t="s">
        <v>51</v>
      </c>
      <c r="N43" t="s">
        <v>16</v>
      </c>
    </row>
    <row r="44" spans="1:16">
      <c r="D44" t="s">
        <v>46</v>
      </c>
      <c r="E44">
        <v>6.38</v>
      </c>
      <c r="F44">
        <f>10^($E$43-E44)</f>
        <v>4.1686938347033555</v>
      </c>
      <c r="G44">
        <f>F44*G43</f>
        <v>0.80625644599096269</v>
      </c>
      <c r="H44">
        <f>-(G44 +2*G45+3*G46 +4*G47)</f>
        <v>-0.80692865324608121</v>
      </c>
      <c r="N44" t="s">
        <v>16</v>
      </c>
    </row>
    <row r="45" spans="1:16">
      <c r="D45" t="s">
        <v>47</v>
      </c>
      <c r="E45">
        <v>10.38</v>
      </c>
      <c r="F45">
        <f>10^($E$43-E45)</f>
        <v>4.1686938347033437E-4</v>
      </c>
      <c r="G45">
        <f>F45*G44</f>
        <v>3.3610362755923557E-4</v>
      </c>
      <c r="N45" t="s">
        <v>16</v>
      </c>
    </row>
    <row r="46" spans="1:16">
      <c r="D46" t="s">
        <v>48</v>
      </c>
      <c r="E46">
        <v>30</v>
      </c>
      <c r="F46">
        <f>10^($E$43-E46)</f>
        <v>1.0000000000000001E-23</v>
      </c>
      <c r="G46">
        <f>F46*G45</f>
        <v>3.3610362755923563E-27</v>
      </c>
      <c r="N46" t="s">
        <v>16</v>
      </c>
      <c r="O46" t="s">
        <v>16</v>
      </c>
    </row>
    <row r="47" spans="1:16">
      <c r="D47" t="s">
        <v>49</v>
      </c>
      <c r="E47">
        <v>30</v>
      </c>
      <c r="F47">
        <f>10^($E$43-E47)</f>
        <v>1.0000000000000001E-23</v>
      </c>
      <c r="G47">
        <f>F47*G46</f>
        <v>3.3610362755923565E-50</v>
      </c>
      <c r="N47" t="s">
        <v>16</v>
      </c>
    </row>
    <row r="56" spans="2:14">
      <c r="C56" t="s">
        <v>82</v>
      </c>
      <c r="D56" t="s">
        <v>83</v>
      </c>
      <c r="E56" t="s">
        <v>97</v>
      </c>
      <c r="F56" t="s">
        <v>92</v>
      </c>
      <c r="N56" t="s">
        <v>16</v>
      </c>
    </row>
    <row r="57" spans="2:14">
      <c r="B57" t="s">
        <v>67</v>
      </c>
      <c r="C57">
        <v>5.54</v>
      </c>
      <c r="D57">
        <v>5.6</v>
      </c>
      <c r="E57">
        <f>D57/(C57-5.7)</f>
        <v>-34.999999999999964</v>
      </c>
      <c r="F57">
        <v>22</v>
      </c>
      <c r="N57" t="s">
        <v>16</v>
      </c>
    </row>
    <row r="58" spans="2:14">
      <c r="B58" t="s">
        <v>68</v>
      </c>
      <c r="C58">
        <v>5.44</v>
      </c>
      <c r="D58">
        <v>8.4</v>
      </c>
      <c r="E58">
        <f t="shared" ref="E58:E79" si="5">D58/(C58-5.7)</f>
        <v>-32.307692307692335</v>
      </c>
      <c r="F58">
        <v>15</v>
      </c>
      <c r="N58" t="s">
        <v>16</v>
      </c>
    </row>
    <row r="59" spans="2:14">
      <c r="B59" t="s">
        <v>69</v>
      </c>
      <c r="C59">
        <v>5.62</v>
      </c>
      <c r="D59">
        <v>3</v>
      </c>
      <c r="E59">
        <f t="shared" si="5"/>
        <v>-37.499999999999964</v>
      </c>
      <c r="F59">
        <v>17.350000000000001</v>
      </c>
    </row>
    <row r="60" spans="2:14">
      <c r="B60" t="s">
        <v>70</v>
      </c>
      <c r="C60">
        <v>5.65</v>
      </c>
      <c r="D60">
        <v>1.6</v>
      </c>
      <c r="E60">
        <f t="shared" si="5"/>
        <v>-32.000000000000114</v>
      </c>
      <c r="F60">
        <v>7.5</v>
      </c>
    </row>
    <row r="61" spans="2:14">
      <c r="B61" t="s">
        <v>71</v>
      </c>
      <c r="C61">
        <v>4.92</v>
      </c>
      <c r="D61">
        <v>31.2</v>
      </c>
      <c r="E61">
        <f t="shared" si="5"/>
        <v>-39.999999999999986</v>
      </c>
      <c r="F61">
        <v>150</v>
      </c>
    </row>
    <row r="62" spans="2:14">
      <c r="B62" t="s">
        <v>72</v>
      </c>
      <c r="C62">
        <v>4.71</v>
      </c>
      <c r="D62">
        <v>49</v>
      </c>
      <c r="E62">
        <f t="shared" si="5"/>
        <v>-49.494949494949488</v>
      </c>
      <c r="F62">
        <v>120</v>
      </c>
    </row>
    <row r="63" spans="2:14">
      <c r="B63" t="s">
        <v>73</v>
      </c>
      <c r="C63">
        <v>5.0999999999999996</v>
      </c>
      <c r="D63">
        <v>22.4</v>
      </c>
      <c r="E63">
        <f t="shared" si="5"/>
        <v>-37.3333333333333</v>
      </c>
      <c r="F63">
        <v>90</v>
      </c>
    </row>
    <row r="64" spans="2:14">
      <c r="B64" t="s">
        <v>74</v>
      </c>
      <c r="C64">
        <v>4.4800000000000004</v>
      </c>
      <c r="D64">
        <v>74.400000000000006</v>
      </c>
      <c r="E64">
        <f t="shared" si="5"/>
        <v>-60.983606557377065</v>
      </c>
      <c r="F64">
        <v>400</v>
      </c>
    </row>
    <row r="65" spans="2:7">
      <c r="B65" t="s">
        <v>75</v>
      </c>
      <c r="C65">
        <v>5.38</v>
      </c>
      <c r="D65">
        <v>9.6</v>
      </c>
      <c r="E65">
        <f t="shared" si="5"/>
        <v>-29.999999999999972</v>
      </c>
      <c r="F65">
        <v>25.3</v>
      </c>
    </row>
    <row r="66" spans="2:7">
      <c r="B66" t="s">
        <v>76</v>
      </c>
      <c r="C66">
        <v>5.22</v>
      </c>
      <c r="D66">
        <v>14.2</v>
      </c>
      <c r="E66">
        <f t="shared" si="5"/>
        <v>-29.583333333333307</v>
      </c>
      <c r="F66">
        <v>51.8</v>
      </c>
    </row>
    <row r="67" spans="2:7">
      <c r="B67" t="s">
        <v>77</v>
      </c>
      <c r="C67">
        <v>5.0199999999999996</v>
      </c>
      <c r="D67">
        <v>25.6</v>
      </c>
      <c r="E67">
        <f t="shared" si="5"/>
        <v>-37.647058823529377</v>
      </c>
      <c r="F67">
        <v>104.8</v>
      </c>
    </row>
    <row r="68" spans="2:7">
      <c r="B68" t="s">
        <v>78</v>
      </c>
      <c r="C68">
        <v>4.66</v>
      </c>
      <c r="D68">
        <v>50.4</v>
      </c>
      <c r="E68">
        <f t="shared" si="5"/>
        <v>-48.46153846153846</v>
      </c>
      <c r="F68">
        <v>157.80000000000001</v>
      </c>
    </row>
    <row r="69" spans="2:7">
      <c r="B69" t="s">
        <v>79</v>
      </c>
      <c r="C69">
        <v>4.7699999999999996</v>
      </c>
      <c r="D69">
        <v>45</v>
      </c>
      <c r="E69">
        <f t="shared" si="5"/>
        <v>-48.387096774193516</v>
      </c>
      <c r="F69">
        <v>237.3</v>
      </c>
    </row>
    <row r="70" spans="2:7">
      <c r="B70" t="s">
        <v>80</v>
      </c>
      <c r="C70">
        <v>4.75</v>
      </c>
      <c r="D70">
        <v>46</v>
      </c>
      <c r="E70">
        <f t="shared" si="5"/>
        <v>-48.421052631578938</v>
      </c>
      <c r="F70">
        <v>316.8</v>
      </c>
    </row>
    <row r="71" spans="2:7">
      <c r="B71" t="s">
        <v>81</v>
      </c>
      <c r="C71">
        <v>4.4800000000000004</v>
      </c>
      <c r="D71">
        <v>59.8</v>
      </c>
      <c r="E71">
        <f t="shared" si="5"/>
        <v>-49.016393442622956</v>
      </c>
      <c r="F71">
        <v>396.3</v>
      </c>
    </row>
    <row r="72" spans="2:7">
      <c r="B72" t="s">
        <v>84</v>
      </c>
      <c r="C72">
        <v>4.68</v>
      </c>
      <c r="D72">
        <v>39.6</v>
      </c>
      <c r="E72">
        <f t="shared" si="5"/>
        <v>-38.823529411764689</v>
      </c>
      <c r="F72">
        <v>793.8</v>
      </c>
    </row>
    <row r="73" spans="2:7">
      <c r="B73" t="s">
        <v>85</v>
      </c>
      <c r="C73">
        <v>4.62</v>
      </c>
      <c r="D73">
        <v>44.8</v>
      </c>
      <c r="E73">
        <f t="shared" si="5"/>
        <v>-41.481481481481474</v>
      </c>
      <c r="F73">
        <v>1323.8</v>
      </c>
    </row>
    <row r="74" spans="2:7">
      <c r="B74" t="s">
        <v>86</v>
      </c>
      <c r="C74">
        <v>4.8099999999999996</v>
      </c>
      <c r="D74">
        <v>35.4</v>
      </c>
      <c r="E74">
        <f t="shared" si="5"/>
        <v>-39.775280898876375</v>
      </c>
      <c r="F74">
        <v>1400</v>
      </c>
      <c r="G74" t="s">
        <v>16</v>
      </c>
    </row>
    <row r="75" spans="2:7">
      <c r="B75" t="s">
        <v>87</v>
      </c>
      <c r="C75">
        <v>4.71</v>
      </c>
      <c r="D75">
        <v>42</v>
      </c>
      <c r="E75">
        <f t="shared" si="5"/>
        <v>-42.424242424242415</v>
      </c>
      <c r="F75">
        <v>900</v>
      </c>
    </row>
    <row r="76" spans="2:7">
      <c r="B76" t="s">
        <v>88</v>
      </c>
      <c r="C76">
        <v>4.7300000000000004</v>
      </c>
      <c r="D76">
        <v>46.4</v>
      </c>
      <c r="E76">
        <f t="shared" si="5"/>
        <v>-47.83505154639176</v>
      </c>
      <c r="F76">
        <v>900</v>
      </c>
    </row>
    <row r="77" spans="2:7">
      <c r="B77" t="s">
        <v>89</v>
      </c>
      <c r="C77">
        <v>5.08</v>
      </c>
      <c r="D77">
        <v>20.2</v>
      </c>
      <c r="E77">
        <f t="shared" si="5"/>
        <v>-32.580645161290313</v>
      </c>
      <c r="F77" t="s">
        <v>16</v>
      </c>
    </row>
    <row r="78" spans="2:7">
      <c r="B78" t="s">
        <v>90</v>
      </c>
      <c r="C78">
        <v>3.43</v>
      </c>
      <c r="D78">
        <v>315.2</v>
      </c>
      <c r="E78">
        <f t="shared" si="5"/>
        <v>-138.85462555066078</v>
      </c>
      <c r="F78">
        <v>5</v>
      </c>
    </row>
    <row r="79" spans="2:7">
      <c r="B79" t="s">
        <v>91</v>
      </c>
      <c r="C79">
        <v>3.44</v>
      </c>
      <c r="D79">
        <v>358.2</v>
      </c>
      <c r="E79">
        <f t="shared" si="5"/>
        <v>-158.49557522123891</v>
      </c>
      <c r="F79">
        <v>5</v>
      </c>
    </row>
    <row r="81" spans="2:5">
      <c r="E81">
        <f>AVERAGE(E57:E77)</f>
        <v>-40.907442194485519</v>
      </c>
    </row>
    <row r="86" spans="2:5">
      <c r="B86">
        <f>1000*1.9/11.78</f>
        <v>161.29032258064518</v>
      </c>
    </row>
    <row r="89" spans="2:5">
      <c r="B89">
        <v>19</v>
      </c>
      <c r="C89">
        <f xml:space="preserve"> 1617.3/(B89+273.15) -9.2852 + 0.033311*(B89+273.15) - 0.000023211*(B89+273.15)^2</f>
        <v>4.0013670092266063</v>
      </c>
    </row>
    <row r="90" spans="2:5">
      <c r="C90">
        <f xml:space="preserve"> 1911.4/(B89+273.15) -5.5538 + 0.022635*(B89+273.15) - 0.0000068146*(B89+273.15)^2</f>
        <v>7.0199076058170622</v>
      </c>
    </row>
  </sheetData>
  <pageMargins left="0.75" right="0.75" top="1" bottom="1" header="0.5" footer="0.5"/>
  <pageSetup orientation="portrait" horizontalDpi="4294967292" verticalDpi="4294967292"/>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 J. deLange</dc:creator>
  <cp:lastModifiedBy>A.J. deLange</cp:lastModifiedBy>
  <dcterms:created xsi:type="dcterms:W3CDTF">2013-03-31T13:37:05Z</dcterms:created>
  <dcterms:modified xsi:type="dcterms:W3CDTF">2013-12-22T16:02:48Z</dcterms:modified>
</cp:coreProperties>
</file>